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4/"/>
    </mc:Choice>
  </mc:AlternateContent>
  <xr:revisionPtr revIDLastSave="31" documentId="8_{1E443FF3-32B9-4E88-A7EC-A352C669FFF5}" xr6:coauthVersionLast="47" xr6:coauthVersionMax="47" xr10:uidLastSave="{50950C29-F29C-421D-9CBA-8A25678836C3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6" l="1"/>
  <c r="E35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G57" i="6"/>
  <c r="G58" i="6"/>
  <c r="G59" i="6"/>
  <c r="G60" i="6"/>
  <c r="G61" i="6"/>
  <c r="G62" i="6"/>
  <c r="G63" i="6"/>
  <c r="G64" i="6"/>
  <c r="G65" i="6"/>
  <c r="F56" i="6"/>
  <c r="H56" i="6" s="1"/>
  <c r="F57" i="6"/>
  <c r="F58" i="6"/>
  <c r="F59" i="6"/>
  <c r="H59" i="6" s="1"/>
  <c r="F60" i="6"/>
  <c r="H60" i="6" s="1"/>
  <c r="F61" i="6"/>
  <c r="H61" i="6" s="1"/>
  <c r="F62" i="6"/>
  <c r="H62" i="6" s="1"/>
  <c r="F63" i="6"/>
  <c r="H63" i="6" s="1"/>
  <c r="F64" i="6"/>
  <c r="H64" i="6" s="1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 s="1"/>
  <c r="E10" i="6" s="1"/>
  <c r="G53" i="6"/>
  <c r="H53" i="6" s="1"/>
  <c r="G52" i="6"/>
  <c r="H52" i="6" s="1"/>
  <c r="E26" i="6" s="1"/>
  <c r="G51" i="6"/>
  <c r="H51" i="6" s="1"/>
  <c r="G50" i="6"/>
  <c r="H50" i="6" s="1"/>
  <c r="G49" i="6"/>
  <c r="H49" i="6"/>
  <c r="G48" i="6"/>
  <c r="H48" i="6"/>
  <c r="E40" i="6" s="1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 s="1"/>
  <c r="E5" i="6" s="1"/>
  <c r="G36" i="6"/>
  <c r="H36" i="6" s="1"/>
  <c r="G35" i="6"/>
  <c r="H35" i="6" s="1"/>
  <c r="G34" i="6"/>
  <c r="H34" i="6" s="1"/>
  <c r="G33" i="6"/>
  <c r="H33" i="6" s="1"/>
  <c r="G32" i="6"/>
  <c r="H32" i="6"/>
  <c r="G31" i="6"/>
  <c r="H31" i="6"/>
  <c r="G30" i="6"/>
  <c r="H30" i="6" s="1"/>
  <c r="G29" i="6"/>
  <c r="H29" i="6" s="1"/>
  <c r="G28" i="6"/>
  <c r="G27" i="6"/>
  <c r="G26" i="6"/>
  <c r="G25" i="6"/>
  <c r="G24" i="6"/>
  <c r="G23" i="6"/>
  <c r="G22" i="6"/>
  <c r="G21" i="6"/>
  <c r="H21" i="6" s="1"/>
  <c r="G20" i="6"/>
  <c r="H20" i="6" s="1"/>
  <c r="G19" i="6"/>
  <c r="H19" i="6"/>
  <c r="E12" i="6" s="1"/>
  <c r="C15" i="4" s="1"/>
  <c r="G18" i="6"/>
  <c r="H18" i="6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G3" i="6"/>
  <c r="H3" i="6" s="1"/>
  <c r="H2" i="6"/>
  <c r="G2" i="6"/>
  <c r="G1" i="6"/>
  <c r="F1" i="6"/>
  <c r="A1" i="4"/>
  <c r="C9" i="4" l="1"/>
  <c r="G9" i="4" s="1"/>
  <c r="E42" i="6"/>
  <c r="E23" i="6"/>
  <c r="E14" i="6"/>
  <c r="E37" i="6"/>
  <c r="C38" i="4" s="1"/>
  <c r="G38" i="4" s="1"/>
  <c r="E32" i="6"/>
  <c r="C36" i="4" s="1"/>
  <c r="G36" i="4" s="1"/>
  <c r="E51" i="6"/>
  <c r="C43" i="4" s="1"/>
  <c r="G43" i="4" s="1"/>
  <c r="E44" i="6"/>
  <c r="E25" i="6"/>
  <c r="E45" i="6"/>
  <c r="E4" i="6"/>
  <c r="C4" i="4" s="1"/>
  <c r="G4" i="4" s="1"/>
  <c r="E54" i="6"/>
  <c r="E49" i="6"/>
  <c r="C46" i="4" s="1"/>
  <c r="G46" i="4" s="1"/>
  <c r="C39" i="4"/>
  <c r="G39" i="4" s="1"/>
  <c r="E34" i="6"/>
  <c r="C37" i="4"/>
  <c r="E52" i="6"/>
  <c r="C7" i="4" s="1"/>
  <c r="G7" i="4" s="1"/>
  <c r="E27" i="6"/>
  <c r="E6" i="6"/>
  <c r="C26" i="4" s="1"/>
  <c r="G26" i="4" s="1"/>
  <c r="E18" i="6"/>
  <c r="C19" i="4" s="1"/>
  <c r="G19" i="4" s="1"/>
  <c r="C32" i="4"/>
  <c r="G32" i="4" s="1"/>
  <c r="E29" i="6"/>
  <c r="C34" i="4" s="1"/>
  <c r="G34" i="4" s="1"/>
  <c r="E11" i="6"/>
  <c r="C14" i="4" s="1"/>
  <c r="G14" i="4" s="1"/>
  <c r="E3" i="6"/>
  <c r="C6" i="4" s="1"/>
  <c r="G6" i="4" s="1"/>
  <c r="E48" i="4"/>
  <c r="G15" i="4"/>
  <c r="H1" i="6"/>
  <c r="H9" i="6"/>
  <c r="H12" i="6"/>
  <c r="H14" i="6"/>
  <c r="H22" i="6"/>
  <c r="H24" i="6"/>
  <c r="E24" i="6" s="1"/>
  <c r="H26" i="6"/>
  <c r="H28" i="6"/>
  <c r="H39" i="6"/>
  <c r="H41" i="6"/>
  <c r="H43" i="6"/>
  <c r="H45" i="6"/>
  <c r="C13" i="4" s="1"/>
  <c r="G13" i="4" s="1"/>
  <c r="H10" i="6"/>
  <c r="H13" i="6"/>
  <c r="H15" i="6"/>
  <c r="H23" i="6"/>
  <c r="H25" i="6"/>
  <c r="H27" i="6"/>
  <c r="H38" i="6"/>
  <c r="H40" i="6"/>
  <c r="E1" i="6" s="1"/>
  <c r="C3" i="4" s="1"/>
  <c r="G3" i="4" s="1"/>
  <c r="H42" i="6"/>
  <c r="E28" i="6" s="1"/>
  <c r="H44" i="6"/>
  <c r="E31" i="6" s="1"/>
  <c r="C35" i="4" s="1"/>
  <c r="G35" i="4" s="1"/>
  <c r="B57" i="5"/>
  <c r="C40" i="4"/>
  <c r="G40" i="4" s="1"/>
  <c r="C8" i="4"/>
  <c r="C25" i="4" l="1"/>
  <c r="G25" i="4" s="1"/>
  <c r="E13" i="6"/>
  <c r="C16" i="4" s="1"/>
  <c r="G16" i="4" s="1"/>
  <c r="C30" i="4"/>
  <c r="G30" i="4" s="1"/>
  <c r="E41" i="6"/>
  <c r="C42" i="4"/>
  <c r="G42" i="4" s="1"/>
  <c r="E21" i="6"/>
  <c r="C23" i="4" s="1"/>
  <c r="G23" i="4" s="1"/>
  <c r="E8" i="6"/>
  <c r="C5" i="4" s="1"/>
  <c r="G5" i="4" s="1"/>
  <c r="C31" i="4"/>
  <c r="G31" i="4" s="1"/>
  <c r="E22" i="6"/>
  <c r="C24" i="4" s="1"/>
  <c r="G24" i="4" s="1"/>
  <c r="C29" i="4"/>
  <c r="G29" i="4" s="1"/>
  <c r="E53" i="6"/>
  <c r="C10" i="4" s="1"/>
  <c r="G10" i="4" s="1"/>
  <c r="C28" i="4"/>
  <c r="G28" i="4" s="1"/>
  <c r="E15" i="6"/>
  <c r="C18" i="4" s="1"/>
  <c r="G18" i="4" s="1"/>
  <c r="E20" i="6"/>
  <c r="C21" i="4" s="1"/>
  <c r="G21" i="4" s="1"/>
  <c r="C44" i="4"/>
  <c r="G44" i="4" s="1"/>
  <c r="E50" i="6"/>
  <c r="C47" i="4" s="1"/>
  <c r="G47" i="4" s="1"/>
  <c r="C12" i="4"/>
  <c r="G12" i="4" s="1"/>
  <c r="E39" i="6"/>
  <c r="C41" i="4" s="1"/>
  <c r="G41" i="4" s="1"/>
  <c r="C22" i="4"/>
  <c r="G22" i="4" s="1"/>
  <c r="E9" i="6"/>
  <c r="C27" i="4" s="1"/>
  <c r="G27" i="4" s="1"/>
  <c r="E19" i="6"/>
  <c r="C20" i="4" s="1"/>
  <c r="G20" i="4" s="1"/>
  <c r="C11" i="4"/>
  <c r="G11" i="4" s="1"/>
  <c r="E43" i="6"/>
  <c r="C45" i="4" s="1"/>
  <c r="G45" i="4" s="1"/>
  <c r="C17" i="4"/>
  <c r="G17" i="4" s="1"/>
  <c r="E30" i="6"/>
  <c r="C33" i="4" s="1"/>
  <c r="G33" i="4" s="1"/>
  <c r="C48" i="4" l="1"/>
  <c r="G48" i="4" s="1"/>
</calcChain>
</file>

<file path=xl/sharedStrings.xml><?xml version="1.0" encoding="utf-8"?>
<sst xmlns="http://schemas.openxmlformats.org/spreadsheetml/2006/main" count="253" uniqueCount="109">
  <si>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</si>
  <si>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</si>
  <si>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</si>
  <si>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</si>
  <si>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</si>
  <si>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</si>
  <si>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</si>
  <si>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</si>
  <si>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</si>
  <si>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</si>
  <si>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</si>
  <si>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</si>
  <si>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</si>
  <si>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</si>
  <si>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</si>
  <si>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</si>
  <si>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</si>
  <si>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</si>
  <si>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</si>
  <si>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</si>
  <si>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</si>
  <si>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</si>
  <si>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</si>
  <si>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</si>
  <si>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</si>
  <si>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</si>
  <si>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</si>
  <si>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</si>
  <si>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</si>
  <si>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</si>
  <si>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</si>
  <si>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</si>
  <si>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</si>
  <si>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</si>
  <si>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</si>
  <si>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</si>
  <si>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</si>
  <si>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</si>
  <si>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</si>
  <si>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</si>
  <si>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</si>
  <si>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</si>
  <si>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</si>
  <si>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</si>
  <si>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</si>
  <si>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</si>
  <si>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</si>
  <si>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</si>
  <si>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</si>
  <si>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</si>
  <si>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</si>
  <si>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</si>
  <si>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</si>
  <si>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</si>
  <si>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</si>
  <si>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>KAU - Internet Access</t>
  </si>
  <si>
    <t>LIT - Internet Access</t>
  </si>
  <si>
    <t xml:space="preserve">ONE - Internet       </t>
  </si>
  <si>
    <t xml:space="preserve">WAU - Internet       </t>
  </si>
  <si>
    <t>MRT - Internet Access</t>
  </si>
  <si>
    <t xml:space="preserve">OCF - Internet       </t>
  </si>
  <si>
    <t>IVL - Internet Access</t>
  </si>
  <si>
    <t>KIM - Internet Access</t>
  </si>
  <si>
    <t>ALG - Internet Access</t>
  </si>
  <si>
    <t>CPL - Internet Access</t>
  </si>
  <si>
    <t xml:space="preserve">OCO - Internet       </t>
  </si>
  <si>
    <t>LAK - Internet Access</t>
  </si>
  <si>
    <t>KEW - Internet Access</t>
  </si>
  <si>
    <t>HPL - Internet Access</t>
  </si>
  <si>
    <t xml:space="preserve">TIG - Internet       </t>
  </si>
  <si>
    <t xml:space="preserve">KAU - Teen           </t>
  </si>
  <si>
    <t>FPL - Internet Access</t>
  </si>
  <si>
    <t>SEY - Internet Access</t>
  </si>
  <si>
    <t xml:space="preserve">STR - Laurie Room    </t>
  </si>
  <si>
    <t>SIS - Internet Access</t>
  </si>
  <si>
    <t xml:space="preserve">GIL - Internet       </t>
  </si>
  <si>
    <t>MAN - Internet Access</t>
  </si>
  <si>
    <t>WEY - Internet Access</t>
  </si>
  <si>
    <t>SUR - Internet Access</t>
  </si>
  <si>
    <t>LEN - Internet Access</t>
  </si>
  <si>
    <t>CRI - Internet Access</t>
  </si>
  <si>
    <t xml:space="preserve">PES - Child          </t>
  </si>
  <si>
    <t xml:space="preserve">WAU - Child          </t>
  </si>
  <si>
    <t xml:space="preserve">WIT - Internet       </t>
  </si>
  <si>
    <t>WAS - Internet Access</t>
  </si>
  <si>
    <t>Egg - Internet Access</t>
  </si>
  <si>
    <t xml:space="preserve">FLO - Internet       </t>
  </si>
  <si>
    <t>MAR - Internet Access</t>
  </si>
  <si>
    <t>BCL - Internet Access</t>
  </si>
  <si>
    <t xml:space="preserve">BON - Internet       </t>
  </si>
  <si>
    <t xml:space="preserve">WAU - Teen           </t>
  </si>
  <si>
    <t xml:space="preserve">KAU - Child          </t>
  </si>
  <si>
    <t xml:space="preserve">ALG - Child          </t>
  </si>
  <si>
    <t>FOR - Internet Access</t>
  </si>
  <si>
    <t>NIA - Internet Access</t>
  </si>
  <si>
    <t xml:space="preserve">SHA - Child          </t>
  </si>
  <si>
    <t xml:space="preserve">ON2 - Internet       </t>
  </si>
  <si>
    <t xml:space="preserve">CPL - Child          </t>
  </si>
  <si>
    <t>COL - Internet Access</t>
  </si>
  <si>
    <t>BAI - Internet Access</t>
  </si>
  <si>
    <t xml:space="preserve">SHI  - Internet      </t>
  </si>
  <si>
    <t xml:space="preserve">WAU - Study          </t>
  </si>
  <si>
    <t xml:space="preserve">_default             </t>
  </si>
  <si>
    <t xml:space="preserve">Egg - History        </t>
  </si>
  <si>
    <t xml:space="preserve">MAT - Internet       </t>
  </si>
  <si>
    <t>WSH - Internet Access</t>
  </si>
  <si>
    <t>FIS - Internet Access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</si>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</sst>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E3" sqref="E3:E47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February 2024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7123.916666666667</v>
      </c>
      <c r="D3" s="21"/>
      <c r="E3" s="21">
        <f>VLOOKUP(A3,Sessions!$A$1:$D$56,2,FALSE)</f>
        <v>127</v>
      </c>
      <c r="F3" s="21"/>
      <c r="G3" s="22">
        <f>C3/E3</f>
        <v>56.093832020997375</v>
      </c>
    </row>
    <row r="4" spans="1:18" s="27" customFormat="1" ht="19.5" customHeight="1">
      <c r="A4" s="24" t="s">
        <v>5</v>
      </c>
      <c r="B4" s="24"/>
      <c r="C4" s="25">
        <f>VLOOKUP(A4,Minutes!$A$1:$H$55,5,FALSE)</f>
        <v>820.23333333333335</v>
      </c>
      <c r="D4" s="26"/>
      <c r="E4" s="25">
        <f>VLOOKUP(A4,Sessions!$A$1:$D$56,2,FALSE)</f>
        <v>32</v>
      </c>
      <c r="F4" s="26"/>
      <c r="G4" s="26">
        <f t="shared" ref="G4:G47" si="0">C4/E4</f>
        <v>25.632291666666667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6448.2833333333338</v>
      </c>
      <c r="D5" s="21"/>
      <c r="E5" s="21">
        <f>VLOOKUP(A5,Sessions!$A$1:$D$56,2,FALSE)</f>
        <v>196</v>
      </c>
      <c r="F5" s="21"/>
      <c r="G5" s="22">
        <f t="shared" si="0"/>
        <v>32.899404761904762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408.08333333333331</v>
      </c>
      <c r="D6" s="26"/>
      <c r="E6" s="25">
        <f>VLOOKUP(A6,Sessions!$A$1:$D$56,2,FALSE)</f>
        <v>13</v>
      </c>
      <c r="F6" s="26"/>
      <c r="G6" s="26">
        <f t="shared" si="0"/>
        <v>31.391025641025639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1306.583333333333</v>
      </c>
      <c r="D7" s="22"/>
      <c r="E7" s="21">
        <f>VLOOKUP(A7,Sessions!$A$1:$D$56,2,FALSE)</f>
        <v>42</v>
      </c>
      <c r="F7" s="22"/>
      <c r="G7" s="22">
        <f>C7/E7</f>
        <v>31.109126984126977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0</v>
      </c>
      <c r="D8" s="26"/>
      <c r="E8" s="25">
        <f>VLOOKUP(A8,Sessions!$A$1:$D$56,2,FALSE)</f>
        <v>0</v>
      </c>
      <c r="F8" s="26"/>
      <c r="G8" s="26">
        <v>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32.416666666666664</v>
      </c>
      <c r="D9" s="21"/>
      <c r="E9" s="21">
        <f>VLOOKUP(A9,Sessions!$A$1:$D$56,2,FALSE)</f>
        <v>3</v>
      </c>
      <c r="F9" s="21"/>
      <c r="G9" s="22">
        <f t="shared" si="0"/>
        <v>10.805555555555555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583.90000000000009</v>
      </c>
      <c r="D10" s="25"/>
      <c r="E10" s="25">
        <f>VLOOKUP(A10,Sessions!$A$1:$D$56,2,FALSE)</f>
        <v>19</v>
      </c>
      <c r="F10" s="25"/>
      <c r="G10" s="26">
        <f t="shared" si="0"/>
        <v>30.731578947368426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3550.9333333333334</v>
      </c>
      <c r="D11" s="22"/>
      <c r="E11" s="21">
        <f>VLOOKUP(A11,Sessions!$A$1:$D$56,2,FALSE)</f>
        <v>73</v>
      </c>
      <c r="F11" s="22"/>
      <c r="G11" s="22">
        <f t="shared" si="0"/>
        <v>48.642922374429226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22516.866666666665</v>
      </c>
      <c r="D12" s="25"/>
      <c r="E12" s="25">
        <f>VLOOKUP(A12,Sessions!$A$1:$D$56,2,FALSE)</f>
        <v>483</v>
      </c>
      <c r="F12" s="25"/>
      <c r="G12" s="26">
        <f t="shared" si="0"/>
        <v>46.618771566597651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48.833333333333336</v>
      </c>
      <c r="D13" s="21"/>
      <c r="E13" s="21">
        <f>VLOOKUP(A13,Sessions!$A$1:$D$56,2,FALSE)</f>
        <v>3</v>
      </c>
      <c r="F13" s="21"/>
      <c r="G13" s="22">
        <f t="shared" si="0"/>
        <v>16.277777777777779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1177.5333333333333</v>
      </c>
      <c r="D14" s="26"/>
      <c r="E14" s="25">
        <f>VLOOKUP(A14,Sessions!$A$1:$D$56,2,FALSE)</f>
        <v>27</v>
      </c>
      <c r="F14" s="26"/>
      <c r="G14" s="26">
        <f t="shared" ca="1" si="0"/>
        <v>43.612345679012343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4120.4333333333334</v>
      </c>
      <c r="D15" s="21"/>
      <c r="E15" s="21">
        <f>VLOOKUP(A15,Sessions!$A$1:$D$56,2,FALSE)</f>
        <v>89</v>
      </c>
      <c r="F15" s="21"/>
      <c r="G15" s="22">
        <f t="shared" si="0"/>
        <v>46.297003745318349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3494.2333333333336</v>
      </c>
      <c r="D16" s="26"/>
      <c r="E16" s="25">
        <f>VLOOKUP(A16,Sessions!$A$1:$D$56,2,FALSE)</f>
        <v>73</v>
      </c>
      <c r="F16" s="26"/>
      <c r="G16" s="26">
        <f t="shared" si="0"/>
        <v>47.8662100456621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4959.1000000000004</v>
      </c>
      <c r="D17" s="21"/>
      <c r="E17" s="21">
        <f>VLOOKUP(A17,Sessions!$A$1:$D$56,2,FALSE)</f>
        <v>127</v>
      </c>
      <c r="F17" s="21"/>
      <c r="G17" s="22">
        <f t="shared" si="0"/>
        <v>39.048031496062997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8675.5833333333339</v>
      </c>
      <c r="D18" s="26"/>
      <c r="E18" s="25">
        <f>VLOOKUP(A18,Sessions!$A$1:$D$56,2,FALSE)</f>
        <v>125</v>
      </c>
      <c r="F18" s="26"/>
      <c r="G18" s="26">
        <f t="shared" si="0"/>
        <v>69.404666666666671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22521.516666666666</v>
      </c>
      <c r="D19" s="21"/>
      <c r="E19" s="21">
        <f>VLOOKUP(A19,Sessions!$A$1:$D$56,2,FALSE)</f>
        <v>497</v>
      </c>
      <c r="F19" s="21"/>
      <c r="G19" s="22">
        <f t="shared" si="0"/>
        <v>45.314922870556671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4998.3833333333332</v>
      </c>
      <c r="D20" s="26"/>
      <c r="E20" s="25">
        <f>VLOOKUP(A20,Sessions!$A$1:$D$56,2,FALSE)</f>
        <v>105</v>
      </c>
      <c r="F20" s="26"/>
      <c r="G20" s="26">
        <f t="shared" si="0"/>
        <v>47.603650793650793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7851.75</v>
      </c>
      <c r="D21" s="21"/>
      <c r="E21" s="21">
        <f>VLOOKUP(A21,Sessions!$A$1:$D$56,2,FALSE)</f>
        <v>205</v>
      </c>
      <c r="F21" s="21"/>
      <c r="G21" s="22">
        <f t="shared" si="0"/>
        <v>38.301219512195125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14190.033333333333</v>
      </c>
      <c r="D22" s="26"/>
      <c r="E22" s="25">
        <f>VLOOKUP(A22,Sessions!$A$1:$D$56,2,FALSE)</f>
        <v>314</v>
      </c>
      <c r="F22" s="26"/>
      <c r="G22" s="26">
        <f t="shared" si="0"/>
        <v>45.191188959660295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5181.0166666666664</v>
      </c>
      <c r="D23" s="21"/>
      <c r="E23" s="21">
        <f>VLOOKUP(A23,Sessions!$A$1:$D$56,2,FALSE)</f>
        <v>94</v>
      </c>
      <c r="F23" s="21"/>
      <c r="G23" s="22">
        <f t="shared" si="0"/>
        <v>55.117198581560281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2452.5166666666669</v>
      </c>
      <c r="D24" s="26"/>
      <c r="E24" s="25">
        <f>VLOOKUP(A24,Sessions!$A$1:$D$56,2,FALSE)</f>
        <v>64</v>
      </c>
      <c r="F24" s="26"/>
      <c r="G24" s="26">
        <f t="shared" si="0"/>
        <v>38.32057291666667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3298.3166666666666</v>
      </c>
      <c r="D25" s="21"/>
      <c r="E25" s="21">
        <f>VLOOKUP(A25,Sessions!$A$1:$D$56,2,FALSE)</f>
        <v>74</v>
      </c>
      <c r="F25" s="21"/>
      <c r="G25" s="22">
        <f t="shared" si="0"/>
        <v>44.571846846846846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427.68333333333334</v>
      </c>
      <c r="D26" s="26"/>
      <c r="E26" s="25">
        <f>VLOOKUP(A26,Sessions!$A$1:$D$56,2,FALSE)</f>
        <v>19</v>
      </c>
      <c r="F26" s="26"/>
      <c r="G26" s="26">
        <f t="shared" si="0"/>
        <v>22.509649122807019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1815</v>
      </c>
      <c r="D27" s="21"/>
      <c r="E27" s="21">
        <f>VLOOKUP(A27,Sessions!$A$1:$D$56,2,FALSE)</f>
        <v>50</v>
      </c>
      <c r="F27" s="21"/>
      <c r="G27" s="22">
        <f t="shared" si="0"/>
        <v>36.299999999999997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11231.016666666666</v>
      </c>
      <c r="D28" s="26"/>
      <c r="E28" s="25">
        <f>VLOOKUP(A28,Sessions!$A$1:$D$56,2,FALSE)</f>
        <v>273</v>
      </c>
      <c r="F28" s="26"/>
      <c r="G28" s="26">
        <f t="shared" si="0"/>
        <v>41.139255189255188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577.5</v>
      </c>
      <c r="D29" s="21"/>
      <c r="E29" s="21">
        <f>VLOOKUP(A29,Sessions!$A$1:$D$56,2,FALSE)</f>
        <v>9</v>
      </c>
      <c r="F29" s="21"/>
      <c r="G29" s="22">
        <f t="shared" si="0"/>
        <v>64.166666666666671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1733.1</v>
      </c>
      <c r="D30" s="26"/>
      <c r="E30" s="25">
        <f>VLOOKUP(A30,Sessions!$A$1:$D$56,2,FALSE)</f>
        <v>39</v>
      </c>
      <c r="F30" s="26"/>
      <c r="G30" s="26">
        <f t="shared" si="0"/>
        <v>44.438461538461539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1194.4833333333333</v>
      </c>
      <c r="D31" s="21"/>
      <c r="E31" s="21">
        <f>VLOOKUP(A31,Sessions!$A$1:$D$56,2,FALSE)</f>
        <v>42</v>
      </c>
      <c r="F31" s="21"/>
      <c r="G31" s="22">
        <f t="shared" si="0"/>
        <v>28.440079365079367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1043.95</v>
      </c>
      <c r="D32" s="26"/>
      <c r="E32" s="25">
        <f>VLOOKUP(A32,Sessions!$A$1:$D$56,2,FALSE)</f>
        <v>49</v>
      </c>
      <c r="F32" s="26"/>
      <c r="G32" s="26">
        <f t="shared" si="0"/>
        <v>21.305102040816326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5311.1166666666668</v>
      </c>
      <c r="D33" s="21"/>
      <c r="E33" s="21">
        <f>VLOOKUP(A33,Sessions!$A$1:$D$56,2,FALSE)</f>
        <v>115</v>
      </c>
      <c r="F33" s="21"/>
      <c r="G33" s="22">
        <f t="shared" si="0"/>
        <v>46.183623188405797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9156.0166666666664</v>
      </c>
      <c r="D34" s="26"/>
      <c r="E34" s="25">
        <f>VLOOKUP(A34,Sessions!$A$1:$D$56,2,FALSE)</f>
        <v>200</v>
      </c>
      <c r="F34" s="26"/>
      <c r="G34" s="26">
        <f t="shared" si="0"/>
        <v>45.78008333333333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557.4</v>
      </c>
      <c r="D35" s="21"/>
      <c r="E35" s="21">
        <f>VLOOKUP(A35,Sessions!$A$1:$D$56,2,FALSE)</f>
        <v>16</v>
      </c>
      <c r="F35" s="21"/>
      <c r="G35" s="22">
        <f t="shared" si="0"/>
        <v>34.837499999999999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5372.8833333333332</v>
      </c>
      <c r="D36" s="26"/>
      <c r="E36" s="25">
        <f>VLOOKUP(A36,Sessions!$A$1:$D$56,2,FALSE)</f>
        <v>125</v>
      </c>
      <c r="F36" s="26"/>
      <c r="G36" s="26">
        <f t="shared" si="0"/>
        <v>42.983066666666666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3921.95</v>
      </c>
      <c r="D38" s="26"/>
      <c r="E38" s="25">
        <f>VLOOKUP(A38,Sessions!$A$1:$D$56,2,FALSE)</f>
        <v>95</v>
      </c>
      <c r="F38" s="26"/>
      <c r="G38" s="26">
        <f t="shared" si="0"/>
        <v>41.283684210526317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821.15</v>
      </c>
      <c r="D39" s="21"/>
      <c r="E39" s="21">
        <f>VLOOKUP(A39,Sessions!$A$1:$D$56,2,FALSE)</f>
        <v>21</v>
      </c>
      <c r="F39" s="21"/>
      <c r="G39" s="22">
        <f t="shared" si="0"/>
        <v>39.102380952380955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36.466666666666676</v>
      </c>
      <c r="D40" s="26"/>
      <c r="E40" s="25">
        <f>VLOOKUP(A40,Sessions!$A$1:$D$56,2,FALSE)</f>
        <v>2</v>
      </c>
      <c r="F40" s="26"/>
      <c r="G40" s="26">
        <f t="shared" si="0"/>
        <v>18.233333333333338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23510.033333333333</v>
      </c>
      <c r="D41" s="21"/>
      <c r="E41" s="21">
        <f>VLOOKUP(A41,Sessions!$A$1:$D$56,2,FALSE)</f>
        <v>492</v>
      </c>
      <c r="F41" s="21"/>
      <c r="G41" s="22">
        <f t="shared" si="0"/>
        <v>47.784620596205961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4554.9333333333334</v>
      </c>
      <c r="D42" s="26"/>
      <c r="E42" s="25">
        <f>VLOOKUP(A42,Sessions!$A$1:$D$56,2,FALSE)</f>
        <v>63</v>
      </c>
      <c r="F42" s="26"/>
      <c r="G42" s="26">
        <f t="shared" si="0"/>
        <v>72.300529100529104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1210.2333333333333</v>
      </c>
      <c r="D43" s="21"/>
      <c r="E43" s="21">
        <f>VLOOKUP(A43,Sessions!$A$1:$D$56,2,FALSE)</f>
        <v>36</v>
      </c>
      <c r="F43" s="21"/>
      <c r="G43" s="22">
        <f t="shared" si="0"/>
        <v>33.617592592592594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359.54999999999995</v>
      </c>
      <c r="D44" s="26"/>
      <c r="E44" s="25">
        <f>VLOOKUP(A44,Sessions!$A$1:$D$56,2,FALSE)</f>
        <v>11</v>
      </c>
      <c r="F44" s="26"/>
      <c r="G44" s="26">
        <f t="shared" si="0"/>
        <v>32.68636363636363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2473.9</v>
      </c>
      <c r="D45" s="21"/>
      <c r="E45" s="21">
        <f>VLOOKUP(A45,Sessions!$A$1:$D$56,2,FALSE)</f>
        <v>51</v>
      </c>
      <c r="F45" s="21"/>
      <c r="G45" s="22">
        <f t="shared" si="0"/>
        <v>48.507843137254902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14797.133333333333</v>
      </c>
      <c r="D46" s="26"/>
      <c r="E46" s="25">
        <f>VLOOKUP(A46,Sessions!$A$1:$D$56,2,FALSE)</f>
        <v>407</v>
      </c>
      <c r="F46" s="26"/>
      <c r="G46" s="26">
        <f t="shared" si="0"/>
        <v>36.356592956592955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2565.3666666666668</v>
      </c>
      <c r="D47" s="21"/>
      <c r="E47" s="21">
        <f>VLOOKUP(A47,Sessions!$A$1:$D$56,2,FALSE)</f>
        <v>79</v>
      </c>
      <c r="F47" s="21"/>
      <c r="G47" s="22">
        <f t="shared" si="0"/>
        <v>32.472995780590722</v>
      </c>
    </row>
    <row r="48" spans="1:18" s="27" customFormat="1" ht="19.5" customHeight="1">
      <c r="A48" s="30" t="s">
        <v>49</v>
      </c>
      <c r="B48" s="30"/>
      <c r="C48" s="31">
        <f ca="1">SUM(C3:C47)</f>
        <v>218431.33333333331</v>
      </c>
      <c r="D48" s="32"/>
      <c r="E48" s="32">
        <f>SUM(E3:E47)</f>
        <v>4979</v>
      </c>
      <c r="F48" s="32"/>
      <c r="G48" s="32">
        <f ca="1">C48/E48</f>
        <v>43.87052286268996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topLeftCell="A32" workbookViewId="0">
      <selection activeCell="C1" sqref="C1:D1048576"/>
    </sheetView>
  </sheetViews>
  <sheetFormatPr defaultRowHeight="15"/>
  <cols>
    <col min="1" max="1" width="26.54296875" customWidth="1"/>
    <col min="3" max="3" width="15.1796875" bestFit="1" customWidth="1"/>
    <col min="4" max="4" width="16.2695312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127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13</v>
      </c>
      <c r="C2">
        <v>478</v>
      </c>
      <c r="D2" t="s">
        <v>53</v>
      </c>
      <c r="E2" s="9"/>
    </row>
    <row r="3" spans="1:5" ht="15.6">
      <c r="A3" t="s">
        <v>5</v>
      </c>
      <c r="B3" s="34">
        <f>SUMIF(D$1:D$70, "BCL*",C$1:C$70)</f>
        <v>32</v>
      </c>
      <c r="C3">
        <v>430</v>
      </c>
      <c r="D3" t="s">
        <v>54</v>
      </c>
      <c r="E3" s="9"/>
    </row>
    <row r="4" spans="1:5" ht="15.6">
      <c r="A4" t="s">
        <v>40</v>
      </c>
      <c r="B4" s="34">
        <f>SUMIF(D$1:D$70, "BON*",C$1:C$70)</f>
        <v>21</v>
      </c>
      <c r="C4">
        <v>397</v>
      </c>
      <c r="D4" t="s">
        <v>55</v>
      </c>
      <c r="E4" s="9"/>
    </row>
    <row r="5" spans="1:5" ht="15.6">
      <c r="A5" t="s">
        <v>27</v>
      </c>
      <c r="B5" s="34">
        <f>SUMIF(D$1:D$70, "COL*",C$1:C$70)</f>
        <v>19</v>
      </c>
      <c r="C5">
        <v>314</v>
      </c>
      <c r="D5" t="s">
        <v>56</v>
      </c>
      <c r="E5" s="9"/>
    </row>
    <row r="6" spans="1:5" ht="15.6">
      <c r="A6" t="s">
        <v>6</v>
      </c>
      <c r="B6" s="34">
        <f>SUMIF(D$1:D$70, "CPL*",C$1:C$70)</f>
        <v>196</v>
      </c>
      <c r="C6">
        <v>125</v>
      </c>
      <c r="D6" t="s">
        <v>57</v>
      </c>
      <c r="E6" s="9"/>
    </row>
    <row r="7" spans="1:5" ht="15.6">
      <c r="B7" s="34"/>
      <c r="C7">
        <v>350</v>
      </c>
      <c r="D7" t="s">
        <v>58</v>
      </c>
      <c r="E7" s="9"/>
    </row>
    <row r="8" spans="1:5" ht="15.6">
      <c r="A8" t="s">
        <v>28</v>
      </c>
      <c r="B8" s="34">
        <f>SUMIF(D$1:D$70, "CRI*",C$1:C$70)</f>
        <v>50</v>
      </c>
      <c r="C8">
        <v>273</v>
      </c>
      <c r="D8" t="s">
        <v>59</v>
      </c>
      <c r="E8" s="9"/>
    </row>
    <row r="9" spans="1:5" ht="15.6">
      <c r="A9" t="s">
        <v>8</v>
      </c>
      <c r="B9" s="34">
        <f>SUMIF(D$1:D$70, "EGG*",C$1:C$70)</f>
        <v>42</v>
      </c>
      <c r="C9">
        <v>200</v>
      </c>
      <c r="D9" t="s">
        <v>60</v>
      </c>
      <c r="E9" s="9"/>
    </row>
    <row r="10" spans="1:5" ht="15.6">
      <c r="B10" s="34"/>
      <c r="C10">
        <v>125</v>
      </c>
      <c r="D10" t="s">
        <v>61</v>
      </c>
      <c r="E10" s="9"/>
    </row>
    <row r="11" spans="1:5" ht="15.6">
      <c r="B11" s="34"/>
      <c r="C11">
        <v>205</v>
      </c>
      <c r="D11" t="s">
        <v>62</v>
      </c>
      <c r="E11" s="9"/>
    </row>
    <row r="12" spans="1:5" ht="15.6">
      <c r="B12" s="34"/>
      <c r="C12">
        <v>109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0</v>
      </c>
      <c r="C13">
        <v>184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3</v>
      </c>
      <c r="C14">
        <v>115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27</v>
      </c>
      <c r="C15">
        <v>94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19</v>
      </c>
      <c r="C16">
        <v>105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89</v>
      </c>
      <c r="C17">
        <v>127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73</v>
      </c>
      <c r="C18">
        <v>63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127</v>
      </c>
      <c r="C19">
        <v>76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125</v>
      </c>
      <c r="C20">
        <v>89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497</v>
      </c>
      <c r="C21">
        <v>95</v>
      </c>
      <c r="D21" t="s">
        <v>72</v>
      </c>
      <c r="E21" s="10"/>
    </row>
    <row r="22" spans="1:5" ht="15.6">
      <c r="B22" s="34"/>
      <c r="C22">
        <v>53</v>
      </c>
      <c r="D22" t="s">
        <v>73</v>
      </c>
      <c r="E22" s="9"/>
    </row>
    <row r="23" spans="1:5" ht="15.6">
      <c r="B23" s="34"/>
      <c r="C23">
        <v>73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105</v>
      </c>
      <c r="C24">
        <v>73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205</v>
      </c>
      <c r="C25">
        <v>74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94</v>
      </c>
      <c r="C26">
        <v>79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64</v>
      </c>
      <c r="C27">
        <v>51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314</v>
      </c>
      <c r="C28">
        <v>64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74</v>
      </c>
      <c r="C29">
        <v>50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49</v>
      </c>
      <c r="C30">
        <v>39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2</v>
      </c>
      <c r="C31">
        <v>34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273</v>
      </c>
      <c r="C32">
        <v>36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9</v>
      </c>
      <c r="C33">
        <v>42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200</v>
      </c>
      <c r="C34">
        <v>36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115</v>
      </c>
      <c r="C35">
        <v>27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16</v>
      </c>
      <c r="C36">
        <v>49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125</v>
      </c>
      <c r="C37">
        <v>32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39</v>
      </c>
      <c r="C38">
        <v>21</v>
      </c>
      <c r="D38" t="s">
        <v>89</v>
      </c>
    </row>
    <row r="39" spans="1:5" ht="15.6">
      <c r="B39" s="34"/>
      <c r="C39">
        <v>17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24</v>
      </c>
      <c r="D40" t="s">
        <v>91</v>
      </c>
    </row>
    <row r="41" spans="1:5" ht="15.6">
      <c r="A41" t="s">
        <v>39</v>
      </c>
      <c r="B41" s="34">
        <f>SUMIF(D$1:D$70, "SEY*",C$1:C$70)</f>
        <v>95</v>
      </c>
      <c r="C41">
        <v>18</v>
      </c>
      <c r="D41" t="s">
        <v>92</v>
      </c>
    </row>
    <row r="42" spans="1:5" ht="15.6">
      <c r="A42" t="s">
        <v>42</v>
      </c>
      <c r="B42" s="34">
        <f>SUMIF(D$1:D$70, "SHA*",C$1:C$70)</f>
        <v>492</v>
      </c>
      <c r="C42">
        <v>19</v>
      </c>
      <c r="D42" t="s">
        <v>93</v>
      </c>
    </row>
    <row r="43" spans="1:5" ht="15.6">
      <c r="B43" s="34"/>
      <c r="C43">
        <v>9</v>
      </c>
      <c r="D43" t="s">
        <v>94</v>
      </c>
    </row>
    <row r="44" spans="1:5" ht="15.6">
      <c r="A44" t="s">
        <v>45</v>
      </c>
      <c r="B44" s="34">
        <f>SUMIF(D$1:D$70, "SHI*",C$1:C$70)</f>
        <v>11</v>
      </c>
      <c r="C44">
        <v>14</v>
      </c>
      <c r="D44" t="s">
        <v>95</v>
      </c>
    </row>
    <row r="45" spans="1:5" ht="15.6">
      <c r="A45" t="s">
        <v>12</v>
      </c>
      <c r="B45" s="34">
        <f>SUMIF(D$1:D$70, "SIS*",C$1:C$70)</f>
        <v>73</v>
      </c>
      <c r="C45">
        <v>16</v>
      </c>
      <c r="D45" t="s">
        <v>96</v>
      </c>
    </row>
    <row r="46" spans="1:5" ht="15.6">
      <c r="A46" t="s">
        <v>13</v>
      </c>
      <c r="B46" s="34">
        <f>SUMIF(D$1:D$70, "STR*",C$1:C$70)</f>
        <v>483</v>
      </c>
      <c r="C46">
        <v>12</v>
      </c>
      <c r="D46" t="s">
        <v>97</v>
      </c>
    </row>
    <row r="47" spans="1:5" ht="15.6">
      <c r="B47" s="34"/>
      <c r="C47">
        <v>19</v>
      </c>
      <c r="D47" t="s">
        <v>98</v>
      </c>
    </row>
    <row r="48" spans="1:5" ht="15.6">
      <c r="A48" t="s">
        <v>46</v>
      </c>
      <c r="B48" s="34">
        <f>SUMIF(D$1:D$70, "SUR*",C$1:C$70)</f>
        <v>51</v>
      </c>
      <c r="C48">
        <v>13</v>
      </c>
      <c r="D48" t="s">
        <v>99</v>
      </c>
    </row>
    <row r="49" spans="1:4" ht="15.6">
      <c r="A49" t="s">
        <v>43</v>
      </c>
      <c r="B49" s="34">
        <f>SUMIF(D$1:D$70, "TIG*",C$1:C$70)</f>
        <v>63</v>
      </c>
      <c r="C49">
        <v>11</v>
      </c>
      <c r="D49" t="s">
        <v>100</v>
      </c>
    </row>
    <row r="50" spans="1:4" ht="15.6">
      <c r="A50" t="s">
        <v>32</v>
      </c>
      <c r="B50" s="34">
        <f>SUMIF(D$1:D$70, "WAS*",C$1:C$70)</f>
        <v>42</v>
      </c>
      <c r="C50">
        <v>6</v>
      </c>
      <c r="D50" t="s">
        <v>101</v>
      </c>
    </row>
    <row r="51" spans="1:4" ht="15.6">
      <c r="A51" t="s">
        <v>47</v>
      </c>
      <c r="B51" s="34">
        <f>SUMIF(D$1:D$70, "WAU*",C$1:C$70)</f>
        <v>407</v>
      </c>
      <c r="C51">
        <v>2</v>
      </c>
      <c r="D51" t="s">
        <v>102</v>
      </c>
    </row>
    <row r="52" spans="1:4" ht="15.6">
      <c r="B52" s="34"/>
      <c r="C52">
        <v>6</v>
      </c>
      <c r="D52" t="s">
        <v>103</v>
      </c>
    </row>
    <row r="53" spans="1:4" ht="15.6">
      <c r="B53" s="34"/>
      <c r="C53">
        <v>2</v>
      </c>
      <c r="D53" t="s">
        <v>104</v>
      </c>
    </row>
    <row r="54" spans="1:4" ht="15.6">
      <c r="A54" t="s">
        <v>48</v>
      </c>
      <c r="B54" s="34">
        <f>SUMIF(D$1:D$70, "WEY*",C$1:C$70)</f>
        <v>79</v>
      </c>
      <c r="C54">
        <v>3</v>
      </c>
      <c r="D54" t="s">
        <v>105</v>
      </c>
    </row>
    <row r="55" spans="1:4" ht="15.6">
      <c r="A55" t="s">
        <v>44</v>
      </c>
      <c r="B55" s="34">
        <f>SUMIF(D$1:D$70, "WIT*",C$1:C$70)</f>
        <v>36</v>
      </c>
      <c r="C55">
        <v>3</v>
      </c>
      <c r="D55" t="s">
        <v>106</v>
      </c>
    </row>
    <row r="56" spans="1:4" ht="15.6">
      <c r="A56" t="s">
        <v>14</v>
      </c>
      <c r="B56" s="34">
        <f>SUMIF(D$1:D$70, "WSH*",C$1:C$70)</f>
        <v>3</v>
      </c>
      <c r="C56" t="s">
        <v>107</v>
      </c>
      <c r="D56" t="s">
        <v>108</v>
      </c>
    </row>
    <row r="57" spans="1:4" ht="15.6">
      <c r="A57" s="3" t="s">
        <v>50</v>
      </c>
      <c r="B57">
        <f>SUM(B1:B56)</f>
        <v>4979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15</v>
      </c>
      <c r="D1" s="11">
        <v>0.92733796296296289</v>
      </c>
      <c r="E1" s="4">
        <f>SUMIF(B$1:B$70,"ALG*",H$1:H$70)</f>
        <v>7123.916666666667</v>
      </c>
      <c r="F1" s="2">
        <f>C1*1440</f>
        <v>21600</v>
      </c>
      <c r="G1" s="2">
        <f>D1*1440</f>
        <v>1335.3666666666666</v>
      </c>
      <c r="H1" s="2">
        <f>SUM(F1+G1)</f>
        <v>22935.366666666665</v>
      </c>
    </row>
    <row r="2" spans="1:9" ht="15.6">
      <c r="A2" s="3"/>
      <c r="B2" t="s">
        <v>54</v>
      </c>
      <c r="C2">
        <v>12</v>
      </c>
      <c r="D2" s="11">
        <v>0.98890046296296286</v>
      </c>
      <c r="E2" s="4"/>
      <c r="F2" s="2">
        <f t="shared" ref="F2:F65" si="0">C2*1440</f>
        <v>17280</v>
      </c>
      <c r="G2" s="2">
        <f t="shared" ref="G2:G65" si="1">D2*1440</f>
        <v>1424.0166666666664</v>
      </c>
      <c r="H2" s="2">
        <f t="shared" ref="H2:H65" si="2">SUM(F2+G2)</f>
        <v>18704.016666666666</v>
      </c>
    </row>
    <row r="3" spans="1:9" ht="15.6">
      <c r="A3" s="3" t="s">
        <v>7</v>
      </c>
      <c r="B3" t="s">
        <v>55</v>
      </c>
      <c r="C3">
        <v>12</v>
      </c>
      <c r="D3" s="11">
        <v>1.1539351851851851E-2</v>
      </c>
      <c r="E3" s="4">
        <f>SUMIF(B$1:B$70,"BAI*",H$1:H$70)</f>
        <v>408.08333333333331</v>
      </c>
      <c r="F3" s="2">
        <f t="shared" si="0"/>
        <v>17280</v>
      </c>
      <c r="G3" s="2">
        <f t="shared" si="1"/>
        <v>16.616666666666667</v>
      </c>
      <c r="H3" s="2">
        <f t="shared" si="2"/>
        <v>17296.616666666665</v>
      </c>
      <c r="I3" s="8"/>
    </row>
    <row r="4" spans="1:9" ht="15.6">
      <c r="A4" s="3" t="s">
        <v>5</v>
      </c>
      <c r="B4" t="s">
        <v>56</v>
      </c>
      <c r="C4">
        <v>9</v>
      </c>
      <c r="D4" s="11">
        <v>0.85418981481481471</v>
      </c>
      <c r="E4" s="4">
        <f>SUMIF(B$1:B$70,"BCL*",H$1:H$70)</f>
        <v>820.23333333333335</v>
      </c>
      <c r="F4" s="2">
        <f t="shared" si="0"/>
        <v>12960</v>
      </c>
      <c r="G4" s="2">
        <f t="shared" si="1"/>
        <v>1230.0333333333331</v>
      </c>
      <c r="H4" s="2">
        <f t="shared" si="2"/>
        <v>14190.033333333333</v>
      </c>
    </row>
    <row r="5" spans="1:9" ht="15.6">
      <c r="A5" s="3" t="s">
        <v>40</v>
      </c>
      <c r="B5" t="s">
        <v>57</v>
      </c>
      <c r="C5">
        <v>3</v>
      </c>
      <c r="D5" s="12">
        <v>0.73116898148148157</v>
      </c>
      <c r="E5" s="4">
        <f>SUMIF(B$1:B$70,"BON*",H$1:H$70)</f>
        <v>821.15</v>
      </c>
      <c r="F5" s="2">
        <f t="shared" si="0"/>
        <v>4320</v>
      </c>
      <c r="G5" s="2">
        <f t="shared" si="1"/>
        <v>1052.8833333333334</v>
      </c>
      <c r="H5" s="2">
        <f t="shared" si="2"/>
        <v>5372.8833333333332</v>
      </c>
    </row>
    <row r="6" spans="1:9" ht="15.6">
      <c r="A6" s="3" t="s">
        <v>27</v>
      </c>
      <c r="B6" t="s">
        <v>58</v>
      </c>
      <c r="C6">
        <v>8</v>
      </c>
      <c r="D6" s="11">
        <v>0.55912037037037032</v>
      </c>
      <c r="E6" s="4">
        <f>SUMIF(B$1:B$70,"COL*",H$1:H$70)</f>
        <v>427.68333333333334</v>
      </c>
      <c r="F6" s="2">
        <f t="shared" si="0"/>
        <v>11520</v>
      </c>
      <c r="G6" s="2">
        <f t="shared" si="1"/>
        <v>805.13333333333321</v>
      </c>
      <c r="H6" s="2">
        <f t="shared" si="2"/>
        <v>12325.133333333333</v>
      </c>
    </row>
    <row r="7" spans="1:9" ht="15.6">
      <c r="A7" s="3"/>
      <c r="B7" t="s">
        <v>59</v>
      </c>
      <c r="C7">
        <v>7</v>
      </c>
      <c r="D7" s="11">
        <v>0.79931712962962964</v>
      </c>
      <c r="E7" s="4"/>
      <c r="F7" s="2">
        <f t="shared" si="0"/>
        <v>10080</v>
      </c>
      <c r="G7" s="2">
        <f t="shared" si="1"/>
        <v>1151.0166666666667</v>
      </c>
      <c r="H7" s="2">
        <f t="shared" si="2"/>
        <v>11231.016666666666</v>
      </c>
    </row>
    <row r="8" spans="1:9" ht="15.6">
      <c r="A8" s="3" t="s">
        <v>6</v>
      </c>
      <c r="B8" t="s">
        <v>60</v>
      </c>
      <c r="C8">
        <v>6</v>
      </c>
      <c r="D8" s="11">
        <v>0.35834490740740743</v>
      </c>
      <c r="E8" s="4">
        <f>SUMIF(B$1:B$70,"CPL*",H$1:H70)</f>
        <v>6448.2833333333338</v>
      </c>
      <c r="F8" s="2">
        <f t="shared" si="0"/>
        <v>8640</v>
      </c>
      <c r="G8" s="2">
        <f t="shared" si="1"/>
        <v>516.01666666666665</v>
      </c>
      <c r="H8" s="2">
        <f t="shared" si="2"/>
        <v>9156.0166666666664</v>
      </c>
    </row>
    <row r="9" spans="1:9" ht="15.6">
      <c r="A9" s="3" t="s">
        <v>28</v>
      </c>
      <c r="B9" t="s">
        <v>61</v>
      </c>
      <c r="C9">
        <v>6</v>
      </c>
      <c r="D9" s="11">
        <v>2.4710648148148148E-2</v>
      </c>
      <c r="E9" s="4">
        <f>SUMIF(B$1:B$70,"CRI*",H$1:H$70)</f>
        <v>1815</v>
      </c>
      <c r="F9" s="2">
        <f t="shared" si="0"/>
        <v>8640</v>
      </c>
      <c r="G9" s="2">
        <f t="shared" si="1"/>
        <v>35.583333333333336</v>
      </c>
      <c r="H9" s="2">
        <f t="shared" si="2"/>
        <v>8675.5833333333339</v>
      </c>
    </row>
    <row r="10" spans="1:9" ht="15.6">
      <c r="A10" s="3" t="s">
        <v>10</v>
      </c>
      <c r="B10" t="s">
        <v>62</v>
      </c>
      <c r="C10">
        <v>5</v>
      </c>
      <c r="D10" s="11">
        <v>0.4526041666666667</v>
      </c>
      <c r="E10" s="4">
        <f>SUMIF(B$1:B$70,"FIS*",H$1:H$70)</f>
        <v>32.416666666666664</v>
      </c>
      <c r="F10" s="2">
        <f t="shared" si="0"/>
        <v>7200</v>
      </c>
      <c r="G10" s="2">
        <f t="shared" si="1"/>
        <v>651.75</v>
      </c>
      <c r="H10" s="2">
        <f t="shared" si="2"/>
        <v>7851.75</v>
      </c>
    </row>
    <row r="11" spans="1:9" ht="15.6">
      <c r="A11" s="3" t="s">
        <v>15</v>
      </c>
      <c r="B11" t="s">
        <v>63</v>
      </c>
      <c r="C11">
        <v>4</v>
      </c>
      <c r="D11" s="11">
        <v>0.52827546296296302</v>
      </c>
      <c r="E11" s="4">
        <f ca="1">SUMIF(B$1:B$570,"FLO*",H$1:H$70)</f>
        <v>1177.5333333333333</v>
      </c>
      <c r="F11" s="2">
        <f t="shared" si="0"/>
        <v>5760</v>
      </c>
      <c r="G11" s="2">
        <f t="shared" si="1"/>
        <v>760.7166666666667</v>
      </c>
      <c r="H11" s="2">
        <f t="shared" si="2"/>
        <v>6520.7166666666672</v>
      </c>
    </row>
    <row r="12" spans="1:9" ht="15.6">
      <c r="A12" s="3" t="s">
        <v>16</v>
      </c>
      <c r="B12" t="s">
        <v>64</v>
      </c>
      <c r="C12">
        <v>4</v>
      </c>
      <c r="D12" s="11">
        <v>0.13939814814814813</v>
      </c>
      <c r="E12" s="4">
        <f>SUMIF(B$1:B$70,"FPL*",H$1:H$70)</f>
        <v>4120.4333333333334</v>
      </c>
      <c r="F12" s="2">
        <f t="shared" si="0"/>
        <v>5760</v>
      </c>
      <c r="G12" s="2">
        <f t="shared" si="1"/>
        <v>200.73333333333332</v>
      </c>
      <c r="H12" s="2">
        <f t="shared" si="2"/>
        <v>5960.7333333333336</v>
      </c>
    </row>
    <row r="13" spans="1:9" ht="15.6">
      <c r="A13" s="3" t="s">
        <v>17</v>
      </c>
      <c r="B13" t="s">
        <v>65</v>
      </c>
      <c r="C13">
        <v>3</v>
      </c>
      <c r="D13" s="11">
        <v>0.68827546296296294</v>
      </c>
      <c r="E13" s="4">
        <f>SUMIF(B$1:B$70,"GIL*",H$1:H$70)</f>
        <v>3494.2333333333336</v>
      </c>
      <c r="F13" s="2">
        <f t="shared" si="0"/>
        <v>4320</v>
      </c>
      <c r="G13" s="2">
        <f t="shared" si="1"/>
        <v>991.11666666666667</v>
      </c>
      <c r="H13" s="2">
        <f t="shared" si="2"/>
        <v>5311.1166666666668</v>
      </c>
    </row>
    <row r="14" spans="1:9" ht="15.6">
      <c r="A14" s="3" t="s">
        <v>18</v>
      </c>
      <c r="B14" t="s">
        <v>66</v>
      </c>
      <c r="C14">
        <v>3</v>
      </c>
      <c r="D14" s="12">
        <v>0.5979282407407408</v>
      </c>
      <c r="E14" s="4">
        <f>SUMIF(B$1:B$70,"HPL*",H$1:H$70)</f>
        <v>4959.1000000000004</v>
      </c>
      <c r="F14" s="2">
        <f t="shared" si="0"/>
        <v>4320</v>
      </c>
      <c r="G14" s="2">
        <f t="shared" si="1"/>
        <v>861.01666666666677</v>
      </c>
      <c r="H14" s="2">
        <f t="shared" si="2"/>
        <v>5181.0166666666664</v>
      </c>
    </row>
    <row r="15" spans="1:9" ht="15.6">
      <c r="A15" s="3" t="s">
        <v>19</v>
      </c>
      <c r="B15" t="s">
        <v>67</v>
      </c>
      <c r="C15">
        <v>3</v>
      </c>
      <c r="D15" s="11">
        <v>0.47109953703703705</v>
      </c>
      <c r="E15" s="4">
        <f>SUMIF(B$1:B$70,"IVL*",H$1:H$70)</f>
        <v>8675.5833333333339</v>
      </c>
      <c r="F15" s="2">
        <f t="shared" si="0"/>
        <v>4320</v>
      </c>
      <c r="G15" s="2">
        <f t="shared" si="1"/>
        <v>678.38333333333333</v>
      </c>
      <c r="H15" s="2">
        <f t="shared" si="2"/>
        <v>4998.3833333333332</v>
      </c>
    </row>
    <row r="16" spans="1:9" ht="15.6">
      <c r="A16" s="3"/>
      <c r="B16" t="s">
        <v>68</v>
      </c>
      <c r="C16">
        <v>3</v>
      </c>
      <c r="D16" s="11">
        <v>0.44381944444444449</v>
      </c>
      <c r="E16" s="4"/>
      <c r="F16" s="2">
        <f t="shared" si="0"/>
        <v>4320</v>
      </c>
      <c r="G16" s="2">
        <f t="shared" si="1"/>
        <v>639.1</v>
      </c>
      <c r="H16" s="2">
        <f t="shared" si="2"/>
        <v>4959.1000000000004</v>
      </c>
    </row>
    <row r="17" spans="1:9">
      <c r="B17" t="s">
        <v>69</v>
      </c>
      <c r="C17">
        <v>3</v>
      </c>
      <c r="D17" s="11">
        <v>0.16314814814814815</v>
      </c>
      <c r="F17" s="2">
        <f t="shared" si="0"/>
        <v>4320</v>
      </c>
      <c r="G17" s="2">
        <f t="shared" si="1"/>
        <v>234.93333333333334</v>
      </c>
      <c r="H17" s="2">
        <f t="shared" si="2"/>
        <v>4554.9333333333334</v>
      </c>
    </row>
    <row r="18" spans="1:9" ht="15.6">
      <c r="A18" s="3" t="s">
        <v>20</v>
      </c>
      <c r="B18" t="s">
        <v>70</v>
      </c>
      <c r="C18">
        <v>3</v>
      </c>
      <c r="D18" s="11">
        <v>0.12864583333333332</v>
      </c>
      <c r="E18" s="4">
        <f>SUMIF(B$1:B$70,"KAU*",H$1:H$70)</f>
        <v>22521.516666666666</v>
      </c>
      <c r="F18" s="2">
        <f t="shared" si="0"/>
        <v>4320</v>
      </c>
      <c r="G18" s="2">
        <f t="shared" si="1"/>
        <v>185.24999999999997</v>
      </c>
      <c r="H18" s="2">
        <f t="shared" si="2"/>
        <v>4505.25</v>
      </c>
    </row>
    <row r="19" spans="1:9" ht="15.6">
      <c r="A19" s="3" t="s">
        <v>21</v>
      </c>
      <c r="B19" t="s">
        <v>71</v>
      </c>
      <c r="C19">
        <v>2</v>
      </c>
      <c r="D19" s="11">
        <v>0.86141203703703706</v>
      </c>
      <c r="E19" s="4">
        <f>SUMIF(B$1:B$70,"KEW*",H$1:H$70)</f>
        <v>4998.3833333333332</v>
      </c>
      <c r="F19" s="2">
        <f t="shared" si="0"/>
        <v>2880</v>
      </c>
      <c r="G19" s="2">
        <f t="shared" si="1"/>
        <v>1240.4333333333334</v>
      </c>
      <c r="H19" s="2">
        <f t="shared" si="2"/>
        <v>4120.4333333333334</v>
      </c>
    </row>
    <row r="20" spans="1:9" ht="15.6">
      <c r="A20" s="3" t="s">
        <v>22</v>
      </c>
      <c r="B20" t="s">
        <v>72</v>
      </c>
      <c r="C20">
        <v>2</v>
      </c>
      <c r="D20" s="11">
        <v>0.72357638888888898</v>
      </c>
      <c r="E20" s="4">
        <f>SUMIF(B$1:B$70,"KIM*",H$1:H$70)</f>
        <v>7851.75</v>
      </c>
      <c r="F20" s="2">
        <f t="shared" si="0"/>
        <v>2880</v>
      </c>
      <c r="G20" s="2">
        <f t="shared" si="1"/>
        <v>1041.95</v>
      </c>
      <c r="H20" s="2">
        <f t="shared" si="2"/>
        <v>3921.95</v>
      </c>
    </row>
    <row r="21" spans="1:9" ht="15.6">
      <c r="A21" s="3" t="s">
        <v>24</v>
      </c>
      <c r="B21" t="s">
        <v>73</v>
      </c>
      <c r="C21">
        <v>2</v>
      </c>
      <c r="D21" s="11">
        <v>0.64781250000000001</v>
      </c>
      <c r="E21" s="4">
        <f>SUMIF(B$1:B$70,"LAK*",H$1:H$70)</f>
        <v>5181.0166666666664</v>
      </c>
      <c r="F21" s="2">
        <f t="shared" si="0"/>
        <v>2880</v>
      </c>
      <c r="G21" s="2">
        <f t="shared" si="1"/>
        <v>932.85</v>
      </c>
      <c r="H21" s="2">
        <f t="shared" si="2"/>
        <v>3812.85</v>
      </c>
    </row>
    <row r="22" spans="1:9" ht="15.6">
      <c r="A22" s="3" t="s">
        <v>25</v>
      </c>
      <c r="B22" t="s">
        <v>74</v>
      </c>
      <c r="C22">
        <v>2</v>
      </c>
      <c r="D22" s="11">
        <v>0.46592592592592591</v>
      </c>
      <c r="E22" s="4">
        <f>SUMIF(B$1:B$70,"LEN*",H$1:H$70)</f>
        <v>2452.5166666666669</v>
      </c>
      <c r="F22" s="2">
        <f t="shared" si="0"/>
        <v>2880</v>
      </c>
      <c r="G22" s="2">
        <f t="shared" si="1"/>
        <v>670.93333333333328</v>
      </c>
      <c r="H22" s="2">
        <f t="shared" si="2"/>
        <v>3550.9333333333334</v>
      </c>
    </row>
    <row r="23" spans="1:9" ht="15.6">
      <c r="A23" s="3" t="s">
        <v>23</v>
      </c>
      <c r="B23" t="s">
        <v>75</v>
      </c>
      <c r="C23">
        <v>2</v>
      </c>
      <c r="D23" s="11">
        <v>0.42655092592592592</v>
      </c>
      <c r="E23" s="4">
        <f>SUMIF(B$1:B$70,"LIT*",H$1:H$70)</f>
        <v>14190.033333333333</v>
      </c>
      <c r="F23" s="2">
        <f t="shared" si="0"/>
        <v>2880</v>
      </c>
      <c r="G23" s="2">
        <f t="shared" si="1"/>
        <v>614.23333333333335</v>
      </c>
      <c r="H23" s="2">
        <f t="shared" si="2"/>
        <v>3494.2333333333336</v>
      </c>
    </row>
    <row r="24" spans="1:9" ht="15.6">
      <c r="A24" s="3" t="s">
        <v>26</v>
      </c>
      <c r="B24" t="s">
        <v>76</v>
      </c>
      <c r="C24">
        <v>2</v>
      </c>
      <c r="D24" s="11">
        <v>0.29049768518518521</v>
      </c>
      <c r="E24" s="4">
        <f>SUMIF(B$1:B$70,"MAN*",H$1:H$70)</f>
        <v>3298.3166666666666</v>
      </c>
      <c r="F24" s="2">
        <f t="shared" si="0"/>
        <v>2880</v>
      </c>
      <c r="G24" s="2">
        <f t="shared" si="1"/>
        <v>418.31666666666672</v>
      </c>
      <c r="H24" s="2">
        <f t="shared" si="2"/>
        <v>3298.3166666666666</v>
      </c>
    </row>
    <row r="25" spans="1:9" ht="15.6">
      <c r="A25" s="3" t="s">
        <v>33</v>
      </c>
      <c r="B25" t="s">
        <v>77</v>
      </c>
      <c r="C25">
        <v>1</v>
      </c>
      <c r="D25" s="11">
        <v>0.78150462962962963</v>
      </c>
      <c r="E25" s="4">
        <f>SUMIF(B$1:B$70,"MAR*",H$1:H$70)</f>
        <v>1043.95</v>
      </c>
      <c r="F25" s="2">
        <f t="shared" si="0"/>
        <v>1440</v>
      </c>
      <c r="G25" s="2">
        <f t="shared" si="1"/>
        <v>1125.3666666666666</v>
      </c>
      <c r="H25" s="2">
        <f t="shared" si="2"/>
        <v>2565.3666666666668</v>
      </c>
    </row>
    <row r="26" spans="1:9" ht="15.6">
      <c r="A26" s="3" t="s">
        <v>41</v>
      </c>
      <c r="B26" t="s">
        <v>78</v>
      </c>
      <c r="C26">
        <v>1</v>
      </c>
      <c r="D26" s="11">
        <v>0.7179861111111111</v>
      </c>
      <c r="E26" s="4">
        <f>SUMIF(B$1:B$70,"MAT*",H$1:H$70)</f>
        <v>36.466666666666676</v>
      </c>
      <c r="F26" s="2">
        <f t="shared" si="0"/>
        <v>1440</v>
      </c>
      <c r="G26" s="2">
        <f t="shared" si="1"/>
        <v>1033.9000000000001</v>
      </c>
      <c r="H26" s="2">
        <f t="shared" si="2"/>
        <v>2473.9</v>
      </c>
    </row>
    <row r="27" spans="1:9" ht="15.6">
      <c r="A27" s="3" t="s">
        <v>29</v>
      </c>
      <c r="B27" t="s">
        <v>79</v>
      </c>
      <c r="C27">
        <v>1</v>
      </c>
      <c r="D27" s="11">
        <v>0.70313657407407415</v>
      </c>
      <c r="E27" s="4">
        <f>SUMIF(B$1:B$70,"MRT*",H$1:H$70)</f>
        <v>11231.016666666666</v>
      </c>
      <c r="F27" s="2">
        <f t="shared" si="0"/>
        <v>1440</v>
      </c>
      <c r="G27" s="2">
        <f t="shared" si="1"/>
        <v>1012.5166666666668</v>
      </c>
      <c r="H27" s="2">
        <f t="shared" si="2"/>
        <v>2452.5166666666669</v>
      </c>
    </row>
    <row r="28" spans="1:9" ht="15.6">
      <c r="A28" s="3" t="s">
        <v>30</v>
      </c>
      <c r="B28" t="s">
        <v>80</v>
      </c>
      <c r="C28">
        <v>1</v>
      </c>
      <c r="D28" s="11">
        <v>0.26041666666666669</v>
      </c>
      <c r="E28" s="4">
        <f>SUMIF(B$1:B$70,"NIA*",H$1:H$70)</f>
        <v>577.5</v>
      </c>
      <c r="F28" s="2">
        <f t="shared" si="0"/>
        <v>1440</v>
      </c>
      <c r="G28" s="2">
        <f t="shared" si="1"/>
        <v>375</v>
      </c>
      <c r="H28" s="2">
        <f t="shared" si="2"/>
        <v>1815</v>
      </c>
    </row>
    <row r="29" spans="1:9" ht="15.6">
      <c r="A29" s="3" t="s">
        <v>35</v>
      </c>
      <c r="B29" t="s">
        <v>81</v>
      </c>
      <c r="C29">
        <v>1</v>
      </c>
      <c r="D29" s="11">
        <v>0.20354166666666665</v>
      </c>
      <c r="E29" s="4">
        <f>SUMIF(B$1:B$70,"OCF*",H$1:H$70)</f>
        <v>9156.0166666666664</v>
      </c>
      <c r="F29" s="2">
        <f t="shared" si="0"/>
        <v>1440</v>
      </c>
      <c r="G29" s="2">
        <f t="shared" si="1"/>
        <v>293.09999999999997</v>
      </c>
      <c r="H29" s="2">
        <f t="shared" si="2"/>
        <v>1733.1</v>
      </c>
    </row>
    <row r="30" spans="1:9" ht="15.6">
      <c r="A30" s="3" t="s">
        <v>34</v>
      </c>
      <c r="B30" t="s">
        <v>82</v>
      </c>
      <c r="C30">
        <v>0</v>
      </c>
      <c r="D30" s="11">
        <v>0.97434027777777776</v>
      </c>
      <c r="E30" s="4">
        <f>SUMIF(B$1:B$70,"OCO*",H$1:H$70)</f>
        <v>5311.1166666666668</v>
      </c>
      <c r="F30" s="2">
        <f t="shared" si="0"/>
        <v>0</v>
      </c>
      <c r="G30" s="2">
        <f t="shared" si="1"/>
        <v>1403.05</v>
      </c>
      <c r="H30" s="2">
        <f t="shared" si="2"/>
        <v>1403.05</v>
      </c>
    </row>
    <row r="31" spans="1:9" ht="15.6">
      <c r="A31" s="3" t="s">
        <v>36</v>
      </c>
      <c r="B31" t="s">
        <v>83</v>
      </c>
      <c r="C31">
        <v>0</v>
      </c>
      <c r="D31" s="11">
        <v>0.84043981481481478</v>
      </c>
      <c r="E31" s="4">
        <f>SUMIF(B$1:B$70,"ON2*",H$1:H$70)</f>
        <v>557.4</v>
      </c>
      <c r="F31" s="2">
        <f t="shared" si="0"/>
        <v>0</v>
      </c>
      <c r="G31" s="2">
        <f t="shared" si="1"/>
        <v>1210.2333333333333</v>
      </c>
      <c r="H31" s="2">
        <f t="shared" si="2"/>
        <v>1210.2333333333333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0.82950231481481485</v>
      </c>
      <c r="E32" s="4">
        <f>SUMIF(B$1:B$70,"ONE*",H$1:H$70)</f>
        <v>5372.8833333333332</v>
      </c>
      <c r="F32" s="2">
        <f t="shared" si="0"/>
        <v>0</v>
      </c>
      <c r="G32" s="2">
        <f t="shared" si="1"/>
        <v>1194.4833333333333</v>
      </c>
      <c r="H32" s="2">
        <f t="shared" si="2"/>
        <v>1194.4833333333333</v>
      </c>
    </row>
    <row r="33" spans="1:9">
      <c r="B33" t="s">
        <v>85</v>
      </c>
      <c r="C33">
        <v>0</v>
      </c>
      <c r="D33" s="11">
        <v>0.83278935185185177</v>
      </c>
      <c r="F33" s="2">
        <f t="shared" si="0"/>
        <v>0</v>
      </c>
      <c r="G33" s="2">
        <f t="shared" si="1"/>
        <v>1199.2166666666665</v>
      </c>
      <c r="H33" s="2">
        <f t="shared" si="2"/>
        <v>1199.2166666666665</v>
      </c>
    </row>
    <row r="34" spans="1:9" ht="15.6">
      <c r="A34" s="3" t="s">
        <v>31</v>
      </c>
      <c r="B34" t="s">
        <v>86</v>
      </c>
      <c r="C34">
        <v>0</v>
      </c>
      <c r="D34" s="11">
        <v>0.81773148148148145</v>
      </c>
      <c r="E34" s="4">
        <f>SUMIF(B$1:B$70,"PES*",H$1:H$70)</f>
        <v>1733.1</v>
      </c>
      <c r="F34" s="2">
        <f t="shared" si="0"/>
        <v>0</v>
      </c>
      <c r="G34" s="2">
        <f t="shared" si="1"/>
        <v>1177.5333333333333</v>
      </c>
      <c r="H34" s="2">
        <f t="shared" si="2"/>
        <v>1177.5333333333333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0.72496527777777775</v>
      </c>
      <c r="E35" s="4">
        <f>SUMIF(B$1:B$70,"SCA*",H$1:H$70)</f>
        <v>0</v>
      </c>
      <c r="F35" s="2">
        <f t="shared" si="0"/>
        <v>0</v>
      </c>
      <c r="G35" s="2">
        <f t="shared" si="1"/>
        <v>1043.95</v>
      </c>
      <c r="H35" s="2">
        <f t="shared" si="2"/>
        <v>1043.95</v>
      </c>
    </row>
    <row r="36" spans="1:9">
      <c r="B36" t="s">
        <v>88</v>
      </c>
      <c r="C36">
        <v>0</v>
      </c>
      <c r="D36" s="12">
        <v>0.56960648148148152</v>
      </c>
      <c r="F36" s="2">
        <f t="shared" si="0"/>
        <v>0</v>
      </c>
      <c r="G36" s="2">
        <f t="shared" si="1"/>
        <v>820.23333333333335</v>
      </c>
      <c r="H36" s="2">
        <f t="shared" si="2"/>
        <v>820.23333333333335</v>
      </c>
    </row>
    <row r="37" spans="1:9" ht="15.6">
      <c r="A37" s="3" t="s">
        <v>39</v>
      </c>
      <c r="B37" t="s">
        <v>89</v>
      </c>
      <c r="C37">
        <v>0</v>
      </c>
      <c r="D37" s="11">
        <v>0.57024305555555554</v>
      </c>
      <c r="E37" s="4">
        <f>SUMIF(B$1:B$70,"SEY*",H$1:H$70)</f>
        <v>3921.95</v>
      </c>
      <c r="F37" s="2">
        <f t="shared" si="0"/>
        <v>0</v>
      </c>
      <c r="G37" s="2">
        <f t="shared" si="1"/>
        <v>821.15</v>
      </c>
      <c r="H37" s="2">
        <f t="shared" si="2"/>
        <v>821.15</v>
      </c>
      <c r="I37" s="8"/>
    </row>
    <row r="38" spans="1:9">
      <c r="B38" t="s">
        <v>90</v>
      </c>
      <c r="C38">
        <v>0</v>
      </c>
      <c r="D38" s="11">
        <v>0.50934027777777779</v>
      </c>
      <c r="F38" s="2">
        <f t="shared" si="0"/>
        <v>0</v>
      </c>
      <c r="G38" s="2">
        <f t="shared" si="1"/>
        <v>733.45</v>
      </c>
      <c r="H38" s="2">
        <f t="shared" si="2"/>
        <v>733.45</v>
      </c>
    </row>
    <row r="39" spans="1:9" ht="15.6">
      <c r="A39" s="3" t="s">
        <v>42</v>
      </c>
      <c r="B39" t="s">
        <v>91</v>
      </c>
      <c r="C39">
        <v>0</v>
      </c>
      <c r="D39" s="11">
        <v>0.49975694444444446</v>
      </c>
      <c r="E39" s="4">
        <f>SUMIF(B$1:B$70,"SHA*",H$1:H$70)</f>
        <v>23510.033333333333</v>
      </c>
      <c r="F39" s="2">
        <f t="shared" si="0"/>
        <v>0</v>
      </c>
      <c r="G39" s="2">
        <f t="shared" si="1"/>
        <v>719.65</v>
      </c>
      <c r="H39" s="2">
        <f t="shared" si="2"/>
        <v>719.65</v>
      </c>
    </row>
    <row r="40" spans="1:9" ht="15.6">
      <c r="A40" s="3" t="s">
        <v>45</v>
      </c>
      <c r="B40" t="s">
        <v>92</v>
      </c>
      <c r="C40">
        <v>0</v>
      </c>
      <c r="D40" s="11">
        <v>0.41888888888888887</v>
      </c>
      <c r="E40" s="4">
        <f>SUMIF(B$1:B$70,"SHI*",H$1:H$70)</f>
        <v>359.54999999999995</v>
      </c>
      <c r="F40" s="2">
        <f t="shared" si="0"/>
        <v>0</v>
      </c>
      <c r="G40" s="2">
        <f t="shared" si="1"/>
        <v>603.19999999999993</v>
      </c>
      <c r="H40" s="2">
        <f t="shared" si="2"/>
        <v>603.19999999999993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0.40548611111111116</v>
      </c>
      <c r="E41" s="4">
        <f>SUMIF(B$1:B$70,"SIS*",H$1:H$70)</f>
        <v>3550.9333333333334</v>
      </c>
      <c r="F41" s="2">
        <f t="shared" si="0"/>
        <v>0</v>
      </c>
      <c r="G41" s="2">
        <f t="shared" si="1"/>
        <v>583.90000000000009</v>
      </c>
      <c r="H41" s="2">
        <f t="shared" si="2"/>
        <v>583.90000000000009</v>
      </c>
    </row>
    <row r="42" spans="1:9" ht="15.6">
      <c r="A42" s="3" t="s">
        <v>13</v>
      </c>
      <c r="B42" t="s">
        <v>94</v>
      </c>
      <c r="C42">
        <v>0</v>
      </c>
      <c r="D42" s="11">
        <v>0.40104166666666669</v>
      </c>
      <c r="E42" s="4">
        <f>SUMIF(B$1:B$70,"STR*",H$1:H$70)</f>
        <v>22516.866666666665</v>
      </c>
      <c r="F42" s="2">
        <f t="shared" si="0"/>
        <v>0</v>
      </c>
      <c r="G42" s="2">
        <f t="shared" si="1"/>
        <v>577.5</v>
      </c>
      <c r="H42" s="2">
        <f t="shared" si="2"/>
        <v>577.5</v>
      </c>
    </row>
    <row r="43" spans="1:9" ht="15.6">
      <c r="A43" s="3" t="s">
        <v>46</v>
      </c>
      <c r="B43" t="s">
        <v>95</v>
      </c>
      <c r="C43">
        <v>0</v>
      </c>
      <c r="D43" s="11">
        <v>0.39907407407407408</v>
      </c>
      <c r="E43" s="4">
        <f>SUMIF(B$1:B$70,"SUR*",H$1:H$70)</f>
        <v>2473.9</v>
      </c>
      <c r="F43" s="2">
        <f t="shared" si="0"/>
        <v>0</v>
      </c>
      <c r="G43" s="2">
        <f t="shared" si="1"/>
        <v>574.66666666666663</v>
      </c>
      <c r="H43" s="2">
        <f t="shared" si="2"/>
        <v>574.66666666666663</v>
      </c>
    </row>
    <row r="44" spans="1:9" ht="15.6">
      <c r="A44" s="3" t="s">
        <v>43</v>
      </c>
      <c r="B44" t="s">
        <v>96</v>
      </c>
      <c r="C44">
        <v>0</v>
      </c>
      <c r="D44" s="11">
        <v>0.38708333333333328</v>
      </c>
      <c r="E44" s="4">
        <f>SUMIF(B$1:B$70,"TIG*",H$1:H$70)</f>
        <v>4554.9333333333334</v>
      </c>
      <c r="F44" s="2">
        <f t="shared" si="0"/>
        <v>0</v>
      </c>
      <c r="G44" s="2">
        <f t="shared" si="1"/>
        <v>557.4</v>
      </c>
      <c r="H44" s="2">
        <f t="shared" si="2"/>
        <v>557.4</v>
      </c>
    </row>
    <row r="45" spans="1:9" ht="15.6">
      <c r="A45" s="3" t="s">
        <v>32</v>
      </c>
      <c r="B45" t="s">
        <v>97</v>
      </c>
      <c r="C45">
        <v>0</v>
      </c>
      <c r="D45" s="11">
        <v>0.33857638888888886</v>
      </c>
      <c r="E45" s="4">
        <f>SUMIF(B$1:B$70,"WAS*",H$1:H$70)</f>
        <v>1194.4833333333333</v>
      </c>
      <c r="F45" s="2">
        <f t="shared" si="0"/>
        <v>0</v>
      </c>
      <c r="G45" s="2">
        <f t="shared" si="1"/>
        <v>487.54999999999995</v>
      </c>
      <c r="H45" s="2">
        <f t="shared" si="2"/>
        <v>487.54999999999995</v>
      </c>
    </row>
    <row r="46" spans="1:9" ht="15.6">
      <c r="A46" s="3"/>
      <c r="B46" t="s">
        <v>98</v>
      </c>
      <c r="C46">
        <v>0</v>
      </c>
      <c r="D46" s="11">
        <v>0.29700231481481482</v>
      </c>
      <c r="E46" s="4"/>
      <c r="F46" s="2">
        <f t="shared" si="0"/>
        <v>0</v>
      </c>
      <c r="G46" s="2">
        <f t="shared" si="1"/>
        <v>427.68333333333334</v>
      </c>
      <c r="H46" s="2">
        <f t="shared" si="2"/>
        <v>427.68333333333334</v>
      </c>
    </row>
    <row r="47" spans="1:9" ht="15.6">
      <c r="A47" s="3"/>
      <c r="B47" t="s">
        <v>99</v>
      </c>
      <c r="C47">
        <v>0</v>
      </c>
      <c r="D47" s="12">
        <v>0.28339120370370369</v>
      </c>
      <c r="E47" s="4"/>
      <c r="F47" s="2">
        <f t="shared" si="0"/>
        <v>0</v>
      </c>
      <c r="G47" s="2">
        <f t="shared" si="1"/>
        <v>408.08333333333331</v>
      </c>
      <c r="H47" s="2">
        <f t="shared" si="2"/>
        <v>408.08333333333331</v>
      </c>
    </row>
    <row r="48" spans="1:9" ht="15.6">
      <c r="A48" s="3"/>
      <c r="B48" t="s">
        <v>100</v>
      </c>
      <c r="C48">
        <v>0</v>
      </c>
      <c r="D48" s="11">
        <v>0.24968749999999998</v>
      </c>
      <c r="E48" s="4"/>
      <c r="F48" s="2">
        <f t="shared" si="0"/>
        <v>0</v>
      </c>
      <c r="G48" s="2">
        <f t="shared" si="1"/>
        <v>359.54999999999995</v>
      </c>
      <c r="H48" s="2">
        <f t="shared" si="2"/>
        <v>359.54999999999995</v>
      </c>
    </row>
    <row r="49" spans="1:8" ht="15.6">
      <c r="A49" s="3" t="s">
        <v>47</v>
      </c>
      <c r="B49" t="s">
        <v>101</v>
      </c>
      <c r="C49">
        <v>0</v>
      </c>
      <c r="D49" s="11">
        <v>0.23298611111111112</v>
      </c>
      <c r="E49" s="4">
        <f>SUMIF(B$1:B$70,"WAU*",H$1:H$70)</f>
        <v>14797.133333333333</v>
      </c>
      <c r="F49" s="2">
        <f t="shared" si="0"/>
        <v>0</v>
      </c>
      <c r="G49" s="2">
        <f t="shared" si="1"/>
        <v>335.5</v>
      </c>
      <c r="H49" s="2">
        <f t="shared" si="2"/>
        <v>335.5</v>
      </c>
    </row>
    <row r="50" spans="1:8" ht="15.6">
      <c r="A50" s="3" t="s">
        <v>48</v>
      </c>
      <c r="B50" t="s">
        <v>102</v>
      </c>
      <c r="C50">
        <v>0</v>
      </c>
      <c r="D50" s="11">
        <v>3.2256944444444442E-2</v>
      </c>
      <c r="E50" s="4">
        <f>SUMIF(B$1:B$70,"WEY*",H$1:H$70)</f>
        <v>2565.3666666666668</v>
      </c>
      <c r="F50" s="2">
        <f t="shared" si="0"/>
        <v>0</v>
      </c>
      <c r="G50" s="2">
        <f t="shared" si="1"/>
        <v>46.449999999999996</v>
      </c>
      <c r="H50" s="2">
        <f t="shared" si="2"/>
        <v>46.449999999999996</v>
      </c>
    </row>
    <row r="51" spans="1:8" ht="15.6">
      <c r="A51" s="3" t="s">
        <v>44</v>
      </c>
      <c r="B51" t="s">
        <v>103</v>
      </c>
      <c r="C51">
        <v>0</v>
      </c>
      <c r="D51" s="12">
        <v>7.4560185185185188E-2</v>
      </c>
      <c r="E51" s="4">
        <f>SUMIF(B$1:B$70,"WIT*",H$1:H$70)</f>
        <v>1210.2333333333333</v>
      </c>
      <c r="F51" s="2">
        <f t="shared" si="0"/>
        <v>0</v>
      </c>
      <c r="G51" s="2">
        <f t="shared" si="1"/>
        <v>107.36666666666667</v>
      </c>
      <c r="H51" s="2">
        <f t="shared" si="2"/>
        <v>107.36666666666667</v>
      </c>
    </row>
    <row r="52" spans="1:8" ht="15.6">
      <c r="A52" t="s">
        <v>8</v>
      </c>
      <c r="B52" t="s">
        <v>104</v>
      </c>
      <c r="C52">
        <v>0</v>
      </c>
      <c r="D52" s="12">
        <v>2.5324074074074079E-2</v>
      </c>
      <c r="E52" s="4">
        <f>SUMIF(B$1:B$70,"EGG*",H$1:H$70)</f>
        <v>1306.583333333333</v>
      </c>
      <c r="F52" s="2">
        <f t="shared" si="0"/>
        <v>0</v>
      </c>
      <c r="G52" s="2">
        <f t="shared" si="1"/>
        <v>36.466666666666676</v>
      </c>
      <c r="H52" s="2">
        <f t="shared" si="2"/>
        <v>36.466666666666676</v>
      </c>
    </row>
    <row r="53" spans="1:8" ht="15.6">
      <c r="A53" s="3" t="s">
        <v>11</v>
      </c>
      <c r="B53" t="s">
        <v>105</v>
      </c>
      <c r="C53">
        <v>0</v>
      </c>
      <c r="D53" s="12">
        <v>3.3912037037037039E-2</v>
      </c>
      <c r="E53" s="4">
        <f>SUMIF(B$1:B$70,"FOR*",H$1:H$70)</f>
        <v>583.90000000000009</v>
      </c>
      <c r="F53" s="2">
        <f t="shared" si="0"/>
        <v>0</v>
      </c>
      <c r="G53" s="2">
        <f t="shared" si="1"/>
        <v>48.833333333333336</v>
      </c>
      <c r="H53" s="2">
        <f t="shared" si="2"/>
        <v>48.833333333333336</v>
      </c>
    </row>
    <row r="54" spans="1:8" ht="15.6">
      <c r="A54" s="3" t="s">
        <v>14</v>
      </c>
      <c r="B54" t="s">
        <v>106</v>
      </c>
      <c r="C54">
        <v>0</v>
      </c>
      <c r="D54" s="12">
        <v>2.2511574074074073E-2</v>
      </c>
      <c r="E54" s="4">
        <f>SUMIF(B$1:B$70,"WSH*",H$1:H$70)</f>
        <v>48.833333333333336</v>
      </c>
      <c r="F54" s="2">
        <f t="shared" si="0"/>
        <v>0</v>
      </c>
      <c r="G54" s="2">
        <f t="shared" si="1"/>
        <v>32.416666666666664</v>
      </c>
      <c r="H54" s="2">
        <f t="shared" si="2"/>
        <v>32.416666666666664</v>
      </c>
    </row>
    <row r="55" spans="1:8" ht="15.6">
      <c r="A55" s="3" t="s">
        <v>9</v>
      </c>
      <c r="D55" s="12"/>
      <c r="E55" s="4">
        <f>SUMIF(B$1:B$70,"EPH*",H$1:H$70)</f>
        <v>0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B91F48-868F-4789-97C1-19F15E834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05DFD-0219-451B-9E1F-87FBFA53466C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dff25256-2261-48e2-8556-269c358cb3df"/>
    <ds:schemaRef ds:uri="47f66bd1-b27f-4549-9a13-ff91df445e3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2024-03-01T15:11:11Z</cp:lastPrinted>
  <dcterms:created xsi:type="dcterms:W3CDTF">1996-12-17T01:32:42Z</dcterms:created>
  <dcterms:modified xsi:type="dcterms:W3CDTF">2024-03-01T15:11:30Z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